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200" windowWidth="15480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<sst xmlns="http://schemas.openxmlformats.org/spreadsheetml/2006/main" count="94" uniqueCount="65">
  <si>
    <t>BW( KHz)=</t>
  </si>
  <si>
    <t>R*C*6.28*F^2/1000</t>
  </si>
  <si>
    <t>C( pFd)=</t>
  </si>
  <si>
    <t>.0.546*L/D+2.06*D</t>
  </si>
  <si>
    <t>Q =</t>
  </si>
  <si>
    <t>C  =</t>
  </si>
  <si>
    <t>F/BW</t>
  </si>
  <si>
    <t>D+2*D*L/D</t>
  </si>
  <si>
    <t>Xc=</t>
  </si>
  <si>
    <t>RR=</t>
  </si>
  <si>
    <t>%</t>
  </si>
  <si>
    <t>dB</t>
  </si>
  <si>
    <t>Ted Hart CEO, EH Antenna Systems, LLC</t>
  </si>
  <si>
    <t>Программа для расчета параметров ЕН Антенны</t>
  </si>
  <si>
    <t>создана</t>
  </si>
  <si>
    <t>Частота =</t>
  </si>
  <si>
    <t>МГц</t>
  </si>
  <si>
    <t>Диаметр цилиндров =</t>
  </si>
  <si>
    <t>Отношение L/D =</t>
  </si>
  <si>
    <t>Пф</t>
  </si>
  <si>
    <t>Ом</t>
  </si>
  <si>
    <t>КГц</t>
  </si>
  <si>
    <t>футы</t>
  </si>
  <si>
    <t>C( Пф )=</t>
  </si>
  <si>
    <t>BW( КГц )=</t>
  </si>
  <si>
    <t>ВВОДИМЫЕ ПАРАМЕТРЫ ОТМЕЧЕНЫ ГОЛУБЫМ ЦВЕТОМ</t>
  </si>
  <si>
    <t>Полоса пропускания BW=</t>
  </si>
  <si>
    <t>Ошибка вычисления =</t>
  </si>
  <si>
    <t xml:space="preserve">%  </t>
  </si>
  <si>
    <t>ВЫЧИСЛЕНИЕ ПАРАМЕТРОВ КАТУШКИ НАСТРОЙКИ</t>
  </si>
  <si>
    <t xml:space="preserve">Диаметр провода =  </t>
  </si>
  <si>
    <t>шаг намотки =</t>
  </si>
  <si>
    <t>Диаметр витка =</t>
  </si>
  <si>
    <t>Ориентировочно</t>
  </si>
  <si>
    <t>Индуктивность катушки L =</t>
  </si>
  <si>
    <t>микрогенри</t>
  </si>
  <si>
    <t>Количество витков =</t>
  </si>
  <si>
    <t>Длина катушки =</t>
  </si>
  <si>
    <t xml:space="preserve">Длина = </t>
  </si>
  <si>
    <t>Длина провода =</t>
  </si>
  <si>
    <t xml:space="preserve">Примечание: значение индуктивности вычисляется, принимая, что емкость  </t>
  </si>
  <si>
    <t xml:space="preserve">катушки равна примерно половине емкости между цилиндрами. это может  </t>
  </si>
  <si>
    <t xml:space="preserve"> привести к незначительной ошибке в расчете.</t>
  </si>
  <si>
    <t>ВЫЧИСЛЕНИЕ ЭФФЕКТИВНОСТИ АНТЕННЫ</t>
  </si>
  <si>
    <t>Сопротивление потерь на ВЧ =</t>
  </si>
  <si>
    <t>Эффективность антенны =</t>
  </si>
  <si>
    <t xml:space="preserve">Примечание: Истинная эффективность будет несколько меньше, из-за токов в емкости </t>
  </si>
  <si>
    <t xml:space="preserve">катушки, включенной параллельно катушки. Но, из-за того, что сопротивление </t>
  </si>
  <si>
    <t xml:space="preserve">излучения намного больше потерь в катушке, это влияние незначительно. </t>
  </si>
  <si>
    <t>ВЫЧИСЛЕНИЕ ДЛИНЫ ПРОВОДА ДЛЯ ФАЗИРУЮЩЕЙ КАТУШКИ</t>
  </si>
  <si>
    <t>см</t>
  </si>
  <si>
    <t>Общая длина  =</t>
  </si>
  <si>
    <t>дюйм</t>
  </si>
  <si>
    <t>метры</t>
  </si>
  <si>
    <t>дюймов</t>
  </si>
  <si>
    <t>футов</t>
  </si>
  <si>
    <t>метров</t>
  </si>
  <si>
    <t>мм</t>
  </si>
  <si>
    <t>Витков на сантиметр =</t>
  </si>
  <si>
    <t>без учета места под катушки</t>
  </si>
  <si>
    <t xml:space="preserve">Полоса пропуск. по ур.3 dB  = </t>
  </si>
  <si>
    <r>
      <t>ВСТАВЬТЕ СРЕДНЮЮ ВЕЛИЧИНУ ПОЛОСЫ ПРОПУСКАНИЯ ГОТОВОЙ АНТЕННЫ</t>
    </r>
    <r>
      <rPr>
        <sz val="10"/>
        <rFont val="Arial"/>
        <family val="0"/>
      </rPr>
      <t xml:space="preserve"> </t>
    </r>
  </si>
  <si>
    <t>Перевод в метрическую систему UA1ACO (Кононов В.В.)</t>
  </si>
  <si>
    <t>Емкость пров. в цилиндре C =</t>
  </si>
  <si>
    <t>Емкость катушки настройки C =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</si>
</sst>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;[Red]0.00"/>
    <numFmt numFmtId="179" formatCode="0.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 horizontal="center"/>
    </xf>
    <xf numFmtId="172" fontId="3" fillId="0" borderId="0" xfId="0" applyNumberFormat="1" applyFont="1" applyAlignment="1">
      <alignment horizontal="center"/>
    </xf>
    <xf numFmtId="178" fontId="0" fillId="0" borderId="0" xfId="0" applyNumberFormat="1" applyAlignment="1">
      <alignment/>
    </xf>
    <xf numFmtId="17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17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left"/>
    </xf>
    <xf numFmtId="17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172" fontId="4" fillId="0" borderId="0" xfId="0" applyNumberFormat="1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tabSelected="1" workbookViewId="0" topLeftCell="A8">
      <selection activeCell="C23" sqref="C23"/>
    </sheetView>
  </sheetViews>
  <sheetFormatPr defaultColWidth="9.140625" defaultRowHeight="12.75"/>
  <cols>
    <col min="1" max="1" width="3.8515625" style="0" customWidth="1"/>
    <col min="2" max="2" width="24.28125" style="0" customWidth="1"/>
    <col min="3" max="3" width="9.28125" style="0" customWidth="1"/>
    <col min="4" max="4" width="8.28125" style="0" customWidth="1"/>
    <col min="5" max="5" width="10.421875" style="0" customWidth="1"/>
    <col min="6" max="6" width="12.421875" style="0" bestFit="1" customWidth="1"/>
  </cols>
  <sheetData>
    <row r="1" ht="14.25" customHeight="1"/>
    <row r="2" spans="2:8" ht="14.25" customHeight="1">
      <c r="B2" s="30" t="s">
        <v>13</v>
      </c>
      <c r="C2" s="31"/>
      <c r="D2" s="31"/>
      <c r="E2" s="31"/>
      <c r="F2" s="31"/>
      <c r="G2" s="31"/>
      <c r="H2" s="31"/>
    </row>
    <row r="3" ht="0.75" customHeight="1" hidden="1"/>
    <row r="4" spans="2:3" ht="0.75" customHeight="1" hidden="1">
      <c r="B4" s="1" t="s">
        <v>0</v>
      </c>
      <c r="C4" s="1" t="s">
        <v>1</v>
      </c>
    </row>
    <row r="5" spans="2:3" ht="0.75" customHeight="1" hidden="1">
      <c r="B5" s="2" t="s">
        <v>2</v>
      </c>
      <c r="C5" s="1" t="s">
        <v>3</v>
      </c>
    </row>
    <row r="6" spans="2:3" ht="0.75" customHeight="1" hidden="1">
      <c r="B6" s="2"/>
      <c r="C6" s="1"/>
    </row>
    <row r="7" spans="2:3" ht="0.75" customHeight="1" hidden="1">
      <c r="B7" s="2"/>
      <c r="C7" s="1"/>
    </row>
    <row r="8" spans="2:3" ht="0.75" customHeight="1">
      <c r="B8" s="2"/>
      <c r="C8" s="1"/>
    </row>
    <row r="9" spans="2:3" ht="0.75" customHeight="1">
      <c r="B9" s="2"/>
      <c r="C9" s="1"/>
    </row>
    <row r="10" ht="12.75">
      <c r="C10" t="s">
        <v>14</v>
      </c>
    </row>
    <row r="11" ht="12.75">
      <c r="C11" s="4" t="s">
        <v>12</v>
      </c>
    </row>
    <row r="13" spans="2:8" ht="12.75">
      <c r="B13" s="21" t="s">
        <v>25</v>
      </c>
      <c r="C13" s="22"/>
      <c r="D13" s="22"/>
      <c r="E13" s="22"/>
      <c r="F13" s="22"/>
      <c r="G13" s="22"/>
      <c r="H13" s="22"/>
    </row>
    <row r="15" spans="2:4" ht="15.75">
      <c r="B15" s="2" t="s">
        <v>15</v>
      </c>
      <c r="C15" s="33">
        <v>14</v>
      </c>
      <c r="D15" t="s">
        <v>16</v>
      </c>
    </row>
    <row r="16" spans="2:10" ht="15.75">
      <c r="B16" s="2" t="s">
        <v>17</v>
      </c>
      <c r="C16" s="33">
        <v>3</v>
      </c>
      <c r="D16" t="s">
        <v>50</v>
      </c>
      <c r="I16" s="18">
        <f>C16/2.54</f>
        <v>1.1811023622047243</v>
      </c>
      <c r="J16" t="s">
        <v>54</v>
      </c>
    </row>
    <row r="17" spans="2:3" ht="15.75">
      <c r="B17" s="2" t="s">
        <v>18</v>
      </c>
      <c r="C17" s="33">
        <v>5</v>
      </c>
    </row>
    <row r="18" spans="2:6" ht="12.75">
      <c r="B18" s="2" t="s">
        <v>5</v>
      </c>
      <c r="C18" s="3">
        <f>0.546*C17*I16+2.06*I16</f>
        <v>5.65748031496063</v>
      </c>
      <c r="D18" t="s">
        <v>19</v>
      </c>
      <c r="E18" s="2" t="s">
        <v>23</v>
      </c>
      <c r="F18" s="1" t="s">
        <v>3</v>
      </c>
    </row>
    <row r="19" spans="2:6" ht="12.75">
      <c r="B19" s="2" t="s">
        <v>8</v>
      </c>
      <c r="C19" s="3">
        <f>1/(6.28*C15*1000000*C18*0.000000000001)</f>
        <v>2010.431448086861</v>
      </c>
      <c r="D19" t="s">
        <v>20</v>
      </c>
      <c r="E19" s="2"/>
      <c r="F19" s="1"/>
    </row>
    <row r="20" spans="2:6" ht="15.75">
      <c r="B20" s="2" t="s">
        <v>60</v>
      </c>
      <c r="C20" s="11">
        <f>120*C18*0.000000000001*6.28*(C15*1000000)^2/1000</f>
        <v>835.641524409449</v>
      </c>
      <c r="D20" t="s">
        <v>21</v>
      </c>
      <c r="E20" s="2" t="s">
        <v>24</v>
      </c>
      <c r="F20" s="1" t="s">
        <v>1</v>
      </c>
    </row>
    <row r="21" spans="2:6" ht="12.75">
      <c r="B21" s="2" t="s">
        <v>4</v>
      </c>
      <c r="C21" s="3">
        <f>C15*1000/C20</f>
        <v>16.75359540072384</v>
      </c>
      <c r="E21" s="2" t="s">
        <v>4</v>
      </c>
      <c r="F21" t="s">
        <v>6</v>
      </c>
    </row>
    <row r="22" spans="2:12" ht="15.75">
      <c r="B22" s="2" t="s">
        <v>51</v>
      </c>
      <c r="C22" s="32">
        <f>(I16*(1+2*C17))*2.54</f>
        <v>32.99999999999999</v>
      </c>
      <c r="D22" t="s">
        <v>50</v>
      </c>
      <c r="E22" s="2" t="s">
        <v>38</v>
      </c>
      <c r="F22" t="s">
        <v>7</v>
      </c>
      <c r="I22" s="18">
        <f>I16*(1+2*C17)</f>
        <v>12.992125984251967</v>
      </c>
      <c r="J22" t="s">
        <v>54</v>
      </c>
      <c r="L22" t="s">
        <v>59</v>
      </c>
    </row>
    <row r="23" spans="2:12" ht="12.75">
      <c r="B23" s="2" t="s">
        <v>51</v>
      </c>
      <c r="C23" s="3">
        <f>(I22/12)*0.3048</f>
        <v>0.32999999999999996</v>
      </c>
      <c r="D23" s="17" t="s">
        <v>56</v>
      </c>
      <c r="E23" s="2"/>
      <c r="I23" s="19">
        <f>I22/12</f>
        <v>1.0826771653543306</v>
      </c>
      <c r="J23" t="s">
        <v>55</v>
      </c>
      <c r="L23" t="s">
        <v>59</v>
      </c>
    </row>
    <row r="24" spans="2:5" ht="12.75">
      <c r="B24" s="2"/>
      <c r="C24" s="3"/>
      <c r="E24" s="2"/>
    </row>
    <row r="25" spans="2:8" ht="12.75">
      <c r="B25" s="23" t="s">
        <v>61</v>
      </c>
      <c r="C25" s="24"/>
      <c r="D25" s="22"/>
      <c r="E25" s="25"/>
      <c r="F25" s="22"/>
      <c r="G25" s="22"/>
      <c r="H25" s="22"/>
    </row>
    <row r="26" ht="12.75">
      <c r="E26" s="2"/>
    </row>
    <row r="27" spans="2:4" ht="15.75">
      <c r="B27" s="2" t="s">
        <v>26</v>
      </c>
      <c r="C27" s="15">
        <v>800</v>
      </c>
      <c r="D27" t="s">
        <v>21</v>
      </c>
    </row>
    <row r="28" spans="2:4" ht="12.75">
      <c r="B28" s="2" t="s">
        <v>9</v>
      </c>
      <c r="C28" s="3">
        <f>C19*C27/(C15*1000)</f>
        <v>114.88179703353492</v>
      </c>
      <c r="D28" t="s">
        <v>20</v>
      </c>
    </row>
    <row r="29" spans="2:9" ht="15.75">
      <c r="B29" s="2" t="s">
        <v>27</v>
      </c>
      <c r="C29" s="3">
        <f>(C28-120)/120*100</f>
        <v>-4.265169138720897</v>
      </c>
      <c r="D29" s="1" t="s">
        <v>28</v>
      </c>
      <c r="I29" s="5"/>
    </row>
    <row r="30" spans="2:9" ht="15.75">
      <c r="B30" s="2"/>
      <c r="C30" s="3"/>
      <c r="D30" s="1"/>
      <c r="I30" s="5"/>
    </row>
    <row r="31" spans="2:9" ht="15.75">
      <c r="B31" s="23" t="s">
        <v>29</v>
      </c>
      <c r="C31" s="24"/>
      <c r="D31" s="22"/>
      <c r="E31" s="22"/>
      <c r="F31" s="22"/>
      <c r="G31" s="22"/>
      <c r="H31" s="22"/>
      <c r="I31" s="5"/>
    </row>
    <row r="32" spans="2:9" ht="15.75">
      <c r="B32" s="2"/>
      <c r="C32" s="3"/>
      <c r="G32" s="5"/>
      <c r="I32" s="5"/>
    </row>
    <row r="33" spans="2:10" ht="15.75">
      <c r="B33" s="2" t="s">
        <v>30</v>
      </c>
      <c r="C33" s="16">
        <v>1.7</v>
      </c>
      <c r="D33" t="s">
        <v>57</v>
      </c>
      <c r="H33" s="5"/>
      <c r="I33" s="29">
        <f>C33/25.4</f>
        <v>0.06692913385826772</v>
      </c>
      <c r="J33" t="s">
        <v>52</v>
      </c>
    </row>
    <row r="34" spans="2:10" ht="15.75">
      <c r="B34" s="2" t="s">
        <v>31</v>
      </c>
      <c r="C34" s="16">
        <v>1.7</v>
      </c>
      <c r="D34" t="s">
        <v>57</v>
      </c>
      <c r="I34" s="28">
        <f>C34/25.4</f>
        <v>0.06692913385826772</v>
      </c>
      <c r="J34" t="s">
        <v>52</v>
      </c>
    </row>
    <row r="35" spans="2:3" ht="12.75">
      <c r="B35" s="2" t="s">
        <v>58</v>
      </c>
      <c r="C35" s="3">
        <f>10/((C34+C33)/2)</f>
        <v>5.882352941176471</v>
      </c>
    </row>
    <row r="36" spans="2:10" ht="15.75">
      <c r="B36" s="2" t="s">
        <v>32</v>
      </c>
      <c r="C36" s="16">
        <f>C16</f>
        <v>3</v>
      </c>
      <c r="D36" t="s">
        <v>50</v>
      </c>
      <c r="G36" s="3"/>
      <c r="I36" s="28">
        <f>C36/2.54</f>
        <v>1.1811023622047243</v>
      </c>
      <c r="J36" t="s">
        <v>54</v>
      </c>
    </row>
    <row r="37" spans="2:4" ht="12.75">
      <c r="B37" s="2" t="s">
        <v>63</v>
      </c>
      <c r="C37" s="3">
        <f>0.614/LOG(I16/I33)*C17*I16</f>
        <v>2.908530297010742</v>
      </c>
      <c r="D37" t="s">
        <v>19</v>
      </c>
    </row>
    <row r="38" spans="2:5" ht="12.75">
      <c r="B38" s="2" t="s">
        <v>64</v>
      </c>
      <c r="C38" s="3">
        <f>C18/2</f>
        <v>2.828740157480315</v>
      </c>
      <c r="D38" t="s">
        <v>19</v>
      </c>
      <c r="E38" t="s">
        <v>33</v>
      </c>
    </row>
    <row r="39" spans="2:4" ht="12.75">
      <c r="B39" s="2" t="s">
        <v>34</v>
      </c>
      <c r="C39" s="3">
        <f>1/((6.28*C15*1000000)^2*((C18+C37+C38)*0.000000000001))*1000000</f>
        <v>11.353239789863352</v>
      </c>
      <c r="D39" t="s">
        <v>35</v>
      </c>
    </row>
    <row r="40" spans="2:3" ht="15.75">
      <c r="B40" s="2" t="s">
        <v>36</v>
      </c>
      <c r="C40" s="12">
        <f>(10*C39*I34+((10*C39*I34)^2+4.5*I36^3*C39)^0.5)/((I36^2)/2)</f>
        <v>27.973408905361968</v>
      </c>
    </row>
    <row r="41" spans="2:10" ht="12.75">
      <c r="B41" s="2" t="s">
        <v>37</v>
      </c>
      <c r="C41" s="3">
        <f>C40*C34</f>
        <v>47.55479513911534</v>
      </c>
      <c r="D41" t="s">
        <v>57</v>
      </c>
      <c r="I41" s="19">
        <f>C40*I34</f>
        <v>1.8722360290990294</v>
      </c>
      <c r="J41" t="s">
        <v>52</v>
      </c>
    </row>
    <row r="42" spans="2:13" ht="12.75">
      <c r="B42" s="2" t="s">
        <v>39</v>
      </c>
      <c r="C42" s="3">
        <f>C40*C36*3.14</f>
        <v>263.50951188850973</v>
      </c>
      <c r="D42" t="s">
        <v>50</v>
      </c>
      <c r="E42" s="7">
        <f>C42/100</f>
        <v>2.6350951188850975</v>
      </c>
      <c r="F42" t="s">
        <v>53</v>
      </c>
      <c r="I42" s="19">
        <f>C40*I36*3.14</f>
        <v>103.74390231831092</v>
      </c>
      <c r="J42" t="s">
        <v>54</v>
      </c>
      <c r="L42" s="6">
        <f>I42/12</f>
        <v>8.645325193192576</v>
      </c>
      <c r="M42" t="s">
        <v>22</v>
      </c>
    </row>
    <row r="43" ht="12.75">
      <c r="B43" s="2"/>
    </row>
    <row r="44" ht="12.75">
      <c r="B44" s="1" t="s">
        <v>40</v>
      </c>
    </row>
    <row r="45" ht="12.75">
      <c r="B45" s="1" t="s">
        <v>41</v>
      </c>
    </row>
    <row r="46" ht="12.75">
      <c r="B46" s="1" t="s">
        <v>42</v>
      </c>
    </row>
    <row r="47" ht="12.75">
      <c r="B47" s="1"/>
    </row>
    <row r="48" ht="12.75">
      <c r="B48" s="1"/>
    </row>
    <row r="49" spans="2:8" ht="12.75">
      <c r="B49" s="23" t="s">
        <v>43</v>
      </c>
      <c r="C49" s="22"/>
      <c r="D49" s="22"/>
      <c r="E49" s="22"/>
      <c r="F49" s="22"/>
      <c r="G49" s="22"/>
      <c r="H49" s="22"/>
    </row>
    <row r="50" ht="12.75">
      <c r="B50" s="1"/>
    </row>
    <row r="51" spans="2:10" ht="12.75">
      <c r="B51" s="2" t="s">
        <v>44</v>
      </c>
      <c r="C51" s="6">
        <f>0.996*0.000001*(C15*1000000)^0.5/I33*I42/12</f>
        <v>0.48138159921385615</v>
      </c>
      <c r="D51" t="s">
        <v>20</v>
      </c>
      <c r="I51" s="19">
        <f>0.996*0.000001*(C15*1000000)^0.5/I33*I42/12</f>
        <v>0.48138159921385615</v>
      </c>
      <c r="J51" t="s">
        <v>20</v>
      </c>
    </row>
    <row r="52" spans="2:4" ht="15.75">
      <c r="B52" s="2" t="s">
        <v>45</v>
      </c>
      <c r="C52" s="13">
        <f>C28/(C28+C51)*100</f>
        <v>99.5827250905193</v>
      </c>
      <c r="D52" t="s">
        <v>10</v>
      </c>
    </row>
    <row r="53" spans="2:4" ht="15.75">
      <c r="B53" s="2" t="s">
        <v>45</v>
      </c>
      <c r="C53" s="14">
        <f>10*LOG(C52/100)</f>
        <v>-0.01815993389120315</v>
      </c>
      <c r="D53" s="1" t="s">
        <v>11</v>
      </c>
    </row>
    <row r="54" spans="2:4" ht="12.75">
      <c r="B54" s="2"/>
      <c r="C54" s="8"/>
      <c r="D54" s="1"/>
    </row>
    <row r="55" spans="2:4" ht="12.75">
      <c r="B55" s="1" t="s">
        <v>46</v>
      </c>
      <c r="C55" s="8"/>
      <c r="D55" s="1"/>
    </row>
    <row r="56" spans="2:6" ht="12.75">
      <c r="B56" s="1" t="s">
        <v>47</v>
      </c>
      <c r="C56" s="3"/>
      <c r="D56" s="1"/>
      <c r="F56" s="10"/>
    </row>
    <row r="57" spans="2:6" ht="15.75">
      <c r="B57" s="1" t="s">
        <v>48</v>
      </c>
      <c r="C57" s="9"/>
      <c r="D57" s="1"/>
      <c r="F57" s="7"/>
    </row>
    <row r="58" spans="2:4" ht="12.75">
      <c r="B58" s="1"/>
      <c r="C58" s="4"/>
      <c r="D58" s="1"/>
    </row>
    <row r="59" spans="2:4" ht="12.75">
      <c r="B59" s="1"/>
      <c r="C59" s="4"/>
      <c r="D59" s="1"/>
    </row>
    <row r="60" spans="2:8" ht="12.75">
      <c r="B60" s="23" t="s">
        <v>49</v>
      </c>
      <c r="C60" s="26"/>
      <c r="D60" s="27"/>
      <c r="E60" s="22"/>
      <c r="F60" s="22"/>
      <c r="G60" s="22"/>
      <c r="H60" s="22"/>
    </row>
    <row r="61" spans="2:4" ht="12.75">
      <c r="B61" s="2"/>
      <c r="C61" s="4"/>
      <c r="D61" s="1"/>
    </row>
    <row r="62" spans="2:10" ht="12.75">
      <c r="B62" s="2" t="s">
        <v>39</v>
      </c>
      <c r="C62" s="3">
        <f>(984/C15*6/360*12)*2.54</f>
        <v>35.70514285714287</v>
      </c>
      <c r="D62" s="1" t="s">
        <v>50</v>
      </c>
      <c r="I62" s="19">
        <f>984/C15*6/360*12</f>
        <v>14.05714285714286</v>
      </c>
      <c r="J62" t="s">
        <v>54</v>
      </c>
    </row>
    <row r="63" spans="2:10" ht="12.75">
      <c r="B63" s="2" t="s">
        <v>39</v>
      </c>
      <c r="C63" s="20">
        <f>C62/100</f>
        <v>0.3570514285714287</v>
      </c>
      <c r="D63" s="1" t="s">
        <v>56</v>
      </c>
      <c r="I63" s="19">
        <f>I62/12</f>
        <v>1.1714285714285717</v>
      </c>
      <c r="J63" t="s">
        <v>55</v>
      </c>
    </row>
    <row r="64" spans="2:4" ht="15.75">
      <c r="B64" s="2" t="s">
        <v>36</v>
      </c>
      <c r="C64" s="32">
        <f>I62/(3.14*I16)</f>
        <v>3.7903548680618755</v>
      </c>
      <c r="D64" s="1"/>
    </row>
    <row r="65" spans="2:4" ht="12.75">
      <c r="B65" s="2"/>
      <c r="C65" s="4"/>
      <c r="D65" s="1"/>
    </row>
    <row r="66" spans="2:4" ht="12.75">
      <c r="B66" s="2"/>
      <c r="C66" s="4"/>
      <c r="D66" s="1"/>
    </row>
    <row r="67" spans="3:4" ht="12.75">
      <c r="C67" s="4"/>
      <c r="D67" s="1"/>
    </row>
    <row r="68" spans="3:4" ht="12.75">
      <c r="C68" s="4"/>
      <c r="D68" s="1"/>
    </row>
    <row r="69" spans="3:4" ht="12.75">
      <c r="C69" s="4"/>
      <c r="D69" s="1"/>
    </row>
    <row r="70" spans="2:4" ht="12.75">
      <c r="B70" s="34" t="s">
        <v>62</v>
      </c>
      <c r="C70" s="4"/>
      <c r="D70" s="1"/>
    </row>
    <row r="71" spans="3:4" ht="12.75">
      <c r="C71" s="4"/>
      <c r="D71" s="1"/>
    </row>
    <row r="72" spans="3:4" ht="12.75">
      <c r="C72" s="4"/>
      <c r="D72" s="1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EH-Antenna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Hart</dc:creator>
  <cp:keywords/>
  <dc:description/>
  <cp:lastModifiedBy>vlad</cp:lastModifiedBy>
  <cp:lastPrinted>2005-09-02T09:22:41Z</cp:lastPrinted>
  <dcterms:created xsi:type="dcterms:W3CDTF">2005-07-30T01:35:30Z</dcterms:created>
  <dcterms:modified xsi:type="dcterms:W3CDTF">2005-09-20T11:04:11Z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